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R GESTORI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<sst xmlns="http://schemas.openxmlformats.org/spreadsheetml/2006/main" count="54" uniqueCount="53">
  <si>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Attivo realizzabile presunto</t>
  </si>
  <si>
    <t>inserendo attivo e passivo nelle caselle gialle in automatico appariranno gli altri dati</t>
  </si>
  <si>
    <t>Passivo dichiarato</t>
  </si>
  <si>
    <t>IN BASE AGLI IMPORTI DI LEGGE:</t>
  </si>
  <si>
    <t>SULL'ATTIVO DA REALIZZARE:</t>
  </si>
  <si>
    <t xml:space="preserve">SCAGLIONE </t>
  </si>
  <si>
    <t>% MIN.</t>
  </si>
  <si>
    <t>% MAX.</t>
  </si>
  <si>
    <t xml:space="preserve">IMPORTO MINIMO </t>
  </si>
  <si>
    <t>IMPORTO MASSIMO</t>
  </si>
  <si>
    <t>fino a 16.227,08</t>
  </si>
  <si>
    <t>fino a 24.340,62</t>
  </si>
  <si>
    <t>fino a 40.567,68</t>
  </si>
  <si>
    <t>fino a 81.135,38</t>
  </si>
  <si>
    <t>fino a 405.676,89</t>
  </si>
  <si>
    <t>fino a 811353,79</t>
  </si>
  <si>
    <t>fino a 2434061,67</t>
  </si>
  <si>
    <t>A)               TOTALE SULL'ATTIVO</t>
  </si>
  <si>
    <t xml:space="preserve">SUL PASSIVO AMMESSO: </t>
  </si>
  <si>
    <t>fino a € 81.131,38</t>
  </si>
  <si>
    <t>OLTRE</t>
  </si>
  <si>
    <t>B)                TOTALE SUL PASSIVO</t>
  </si>
  <si>
    <t>RIEPILOGO:</t>
  </si>
  <si>
    <t>TOTALE SUB A)</t>
  </si>
  <si>
    <t>TOTALE SUB B)</t>
  </si>
  <si>
    <t>TOTALE A) + B)</t>
  </si>
  <si>
    <t>PER IL CALCOLO DEL COMPENSO VENGONO UTILIZZATI GLI IMPORTI MINIMI</t>
  </si>
  <si>
    <t>Compenso OCC Art 16 DM 202/14</t>
  </si>
  <si>
    <t xml:space="preserve">Sull'ATTIVO realizzabile presunto - art. 16  c. 1 lett. a) DM 202/14 </t>
  </si>
  <si>
    <t>Note:</t>
  </si>
  <si>
    <t>Sul PASSIVO dichiarato - Art. 16 c.1 lett. b)</t>
  </si>
  <si>
    <r>
      <t>1)</t>
    </r>
    <r>
      <rPr>
        <sz val="7"/>
        <color indexed="8"/>
        <rFont val="Times New Roman"/>
        <family val="1"/>
      </rPr>
      <t xml:space="preserve">       </t>
    </r>
    <r>
      <rPr>
        <sz val="9"/>
        <color indexed="8"/>
        <rFont val="Calibri"/>
        <family val="2"/>
      </rPr>
      <t xml:space="preserve">Sull'attivo realizzabile presunto è stata applicata la riduzione del 40% in conformità a quanto disposto dal dm 25 gennaio 2012 n. 30; 2)   
2)       Sul passivo dichiarato è stata applicata la riduzione del  40% in conformità a quanto disposto dal dm 25 gennaio 2012 n. 30;  
</t>
    </r>
  </si>
  <si>
    <t>Totale</t>
  </si>
  <si>
    <t>A detrarre</t>
  </si>
  <si>
    <t>Riduzione nella misura del 40%</t>
  </si>
  <si>
    <t>Imponibile netto</t>
  </si>
  <si>
    <t>A sommare</t>
  </si>
  <si>
    <t>Rimborso forfettario 10%</t>
  </si>
  <si>
    <t>Imponibile totale</t>
  </si>
  <si>
    <t xml:space="preserve">- L'ammontare complessivo dei compensi e delle spese generali non può comunque essere superiore al 5% dell'ammontare complessivo di quanto è attribuito ai creditori per le procedure aventi un passivo superiore a 1.000.000 di euro, e al 10% sul medesimo ammontare per le procedure con passivo inferiore. Le disposizioni di cui al periodo precedente non si applicano quando l'ammontare complessivo di quanto è attribuito ai creditori è inferiore ad euro 20.000. (art.16,  5°c. DM 202/14); 
- in aggiunta all'importo totale di cui sopra competerà all'OCC il rimborso delle spese effettivamente sostenute (i costi degli ausiliari incaricati sono ricompresi tra le spese ai sensi dell'art. 14 3 c. ultimo periodo).     
</t>
  </si>
  <si>
    <t>Contributo Cassa Previdenza 4% (sulla parte spettante al gestore)</t>
  </si>
  <si>
    <t>Imponibile IVA totale</t>
  </si>
  <si>
    <t>IVA 22%</t>
  </si>
  <si>
    <t>Totale complessivo compenso OCC</t>
  </si>
  <si>
    <t>CALCOLO PARTE SPETTANTE ALL'OCC e PARTE GESTORE</t>
  </si>
  <si>
    <t xml:space="preserve">occ </t>
  </si>
  <si>
    <t xml:space="preserve">gestore </t>
  </si>
  <si>
    <t>cassa 4%</t>
  </si>
  <si>
    <t>imponibile iva</t>
  </si>
  <si>
    <t>iva 20%</t>
  </si>
  <si>
    <t>iva 22%</t>
  </si>
  <si>
    <t xml:space="preserve">totale </t>
  </si>
  <si>
    <t>totale parcella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</si>
</sst>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"/>
    <numFmt numFmtId="166" formatCode="_-[$€-410]\ * #,##0.00_-;\-[$€-410]\ * #,##0.00_-;_-[$€-410]\ * \-??_-;_-@"/>
    <numFmt numFmtId="167" formatCode="#,##0.00"/>
    <numFmt numFmtId="168" formatCode="0.00"/>
  </numFmts>
  <fonts count="12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center"/>
      <protection/>
    </xf>
  </cellStyleXfs>
  <cellXfs count="74">
    <xf numFmtId="164" fontId="0" fillId="0" borderId="0" xfId="0" applyAlignment="1">
      <alignment/>
    </xf>
    <xf numFmtId="164" fontId="1" fillId="0" borderId="0" xfId="20">
      <alignment vertical="center"/>
      <protection/>
    </xf>
    <xf numFmtId="164" fontId="2" fillId="0" borderId="1" xfId="20" applyFont="1" applyBorder="1">
      <alignment vertical="center"/>
      <protection/>
    </xf>
    <xf numFmtId="165" fontId="2" fillId="2" borderId="2" xfId="20" applyNumberFormat="1" applyFont="1" applyFill="1" applyBorder="1">
      <alignment vertical="center"/>
      <protection/>
    </xf>
    <xf numFmtId="164" fontId="2" fillId="0" borderId="0" xfId="20" applyFont="1" applyAlignment="1">
      <alignment/>
      <protection/>
    </xf>
    <xf numFmtId="164" fontId="3" fillId="0" borderId="0" xfId="20" applyFont="1" applyBorder="1" applyAlignment="1">
      <alignment horizontal="left" wrapText="1"/>
      <protection/>
    </xf>
    <xf numFmtId="164" fontId="2" fillId="0" borderId="3" xfId="20" applyFont="1" applyBorder="1">
      <alignment vertical="center"/>
      <protection/>
    </xf>
    <xf numFmtId="164" fontId="2" fillId="0" borderId="2" xfId="20" applyFont="1" applyBorder="1">
      <alignment vertical="center"/>
      <protection/>
    </xf>
    <xf numFmtId="166" fontId="2" fillId="0" borderId="2" xfId="20" applyNumberFormat="1" applyFont="1" applyBorder="1">
      <alignment vertical="center"/>
      <protection/>
    </xf>
    <xf numFmtId="164" fontId="2" fillId="0" borderId="0" xfId="20" applyFont="1">
      <alignment vertical="center"/>
      <protection/>
    </xf>
    <xf numFmtId="164" fontId="4" fillId="0" borderId="0" xfId="20" applyFont="1" applyAlignment="1">
      <alignment/>
      <protection/>
    </xf>
    <xf numFmtId="164" fontId="3" fillId="0" borderId="2" xfId="20" applyFont="1" applyBorder="1">
      <alignment vertical="center"/>
      <protection/>
    </xf>
    <xf numFmtId="164" fontId="3" fillId="0" borderId="4" xfId="20" applyFont="1" applyBorder="1" applyAlignment="1">
      <alignment horizontal="left" vertical="center"/>
      <protection/>
    </xf>
    <xf numFmtId="164" fontId="3" fillId="0" borderId="5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2" fillId="0" borderId="6" xfId="20" applyFont="1" applyBorder="1" applyAlignment="1">
      <alignment horizontal="center" vertical="center"/>
      <protection/>
    </xf>
    <xf numFmtId="166" fontId="2" fillId="0" borderId="6" xfId="20" applyNumberFormat="1" applyFont="1" applyBorder="1" applyAlignment="1">
      <alignment horizontal="center" vertical="center"/>
      <protection/>
    </xf>
    <xf numFmtId="167" fontId="1" fillId="0" borderId="3" xfId="20" applyNumberFormat="1" applyFont="1" applyBorder="1" applyAlignment="1">
      <alignment horizontal="center" vertical="center"/>
      <protection/>
    </xf>
    <xf numFmtId="164" fontId="2" fillId="3" borderId="4" xfId="20" applyFont="1" applyFill="1" applyBorder="1">
      <alignment vertical="center"/>
      <protection/>
    </xf>
    <xf numFmtId="164" fontId="2" fillId="3" borderId="7" xfId="20" applyFont="1" applyFill="1" applyBorder="1">
      <alignment vertical="center"/>
      <protection/>
    </xf>
    <xf numFmtId="164" fontId="2" fillId="3" borderId="5" xfId="20" applyFont="1" applyFill="1" applyBorder="1">
      <alignment vertical="center"/>
      <protection/>
    </xf>
    <xf numFmtId="166" fontId="2" fillId="3" borderId="6" xfId="20" applyNumberFormat="1" applyFont="1" applyFill="1" applyBorder="1" applyAlignment="1">
      <alignment horizontal="center" vertical="center"/>
      <protection/>
    </xf>
    <xf numFmtId="164" fontId="2" fillId="0" borderId="4" xfId="20" applyFont="1" applyBorder="1" applyAlignment="1">
      <alignment horizontal="left" vertical="center"/>
      <protection/>
    </xf>
    <xf numFmtId="164" fontId="2" fillId="0" borderId="5" xfId="20" applyFont="1" applyBorder="1" applyAlignment="1">
      <alignment horizontal="left" vertical="center"/>
      <protection/>
    </xf>
    <xf numFmtId="164" fontId="2" fillId="0" borderId="5" xfId="20" applyFont="1" applyBorder="1" applyAlignment="1">
      <alignment horizontal="center" vertical="center"/>
      <protection/>
    </xf>
    <xf numFmtId="166" fontId="2" fillId="0" borderId="5" xfId="20" applyNumberFormat="1" applyFont="1" applyBorder="1" applyAlignment="1">
      <alignment horizontal="center" vertical="center"/>
      <protection/>
    </xf>
    <xf numFmtId="164" fontId="2" fillId="3" borderId="0" xfId="20" applyFont="1" applyFill="1" applyBorder="1">
      <alignment vertical="center"/>
      <protection/>
    </xf>
    <xf numFmtId="164" fontId="2" fillId="3" borderId="8" xfId="20" applyFont="1" applyFill="1" applyBorder="1">
      <alignment vertical="center"/>
      <protection/>
    </xf>
    <xf numFmtId="166" fontId="2" fillId="0" borderId="0" xfId="20" applyNumberFormat="1" applyFont="1" applyAlignment="1">
      <alignment/>
      <protection/>
    </xf>
    <xf numFmtId="164" fontId="5" fillId="0" borderId="0" xfId="20" applyFo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3" fillId="0" borderId="8" xfId="20" applyFont="1" applyBorder="1" applyAlignment="1">
      <alignment horizontal="center" vertical="center"/>
      <protection/>
    </xf>
    <xf numFmtId="166" fontId="3" fillId="0" borderId="6" xfId="20" applyNumberFormat="1" applyFont="1" applyBorder="1" applyAlignment="1">
      <alignment horizontal="center" vertical="center"/>
      <protection/>
    </xf>
    <xf numFmtId="166" fontId="3" fillId="0" borderId="0" xfId="20" applyNumberFormat="1" applyFont="1" applyAlignment="1">
      <alignment horizontal="center" vertical="center"/>
      <protection/>
    </xf>
    <xf numFmtId="166" fontId="6" fillId="0" borderId="0" xfId="20" applyNumberFormat="1" applyFont="1" applyAlignment="1">
      <alignment horizontal="center" vertical="center"/>
      <protection/>
    </xf>
    <xf numFmtId="164" fontId="4" fillId="0" borderId="0" xfId="20" applyFont="1">
      <alignment vertical="center"/>
      <protection/>
    </xf>
    <xf numFmtId="164" fontId="7" fillId="0" borderId="0" xfId="20" applyFont="1" applyAlignment="1">
      <alignment horizontal="center" vertical="center"/>
      <protection/>
    </xf>
    <xf numFmtId="166" fontId="7" fillId="0" borderId="0" xfId="20" applyNumberFormat="1" applyFont="1" applyAlignment="1">
      <alignment horizontal="center" vertical="center"/>
      <protection/>
    </xf>
    <xf numFmtId="166" fontId="8" fillId="0" borderId="0" xfId="20" applyNumberFormat="1" applyFont="1" applyAlignment="1">
      <alignment horizontal="center" vertical="center"/>
      <protection/>
    </xf>
    <xf numFmtId="164" fontId="2" fillId="3" borderId="0" xfId="20" applyFont="1" applyFill="1" applyBorder="1" applyAlignment="1">
      <alignment horizontal="left" vertical="center"/>
      <protection/>
    </xf>
    <xf numFmtId="166" fontId="2" fillId="3" borderId="0" xfId="20" applyNumberFormat="1" applyFont="1" applyFill="1" applyBorder="1">
      <alignment vertical="center"/>
      <protection/>
    </xf>
    <xf numFmtId="166" fontId="2" fillId="4" borderId="5" xfId="20" applyNumberFormat="1" applyFont="1" applyFill="1" applyBorder="1" applyAlignment="1">
      <alignment horizontal="left" vertical="center"/>
      <protection/>
    </xf>
    <xf numFmtId="166" fontId="2" fillId="4" borderId="5" xfId="20" applyNumberFormat="1" applyFont="1" applyFill="1" applyBorder="1">
      <alignment vertical="center"/>
      <protection/>
    </xf>
    <xf numFmtId="164" fontId="9" fillId="0" borderId="0" xfId="20" applyFont="1" applyAlignment="1">
      <alignment horizontal="left" vertical="center"/>
      <protection/>
    </xf>
    <xf numFmtId="166" fontId="2" fillId="4" borderId="8" xfId="20" applyNumberFormat="1" applyFont="1" applyFill="1" applyBorder="1" applyAlignment="1">
      <alignment horizontal="left" vertical="center"/>
      <protection/>
    </xf>
    <xf numFmtId="166" fontId="2" fillId="4" borderId="8" xfId="20" applyNumberFormat="1" applyFont="1" applyFill="1" applyBorder="1">
      <alignment vertical="center"/>
      <protection/>
    </xf>
    <xf numFmtId="164" fontId="10" fillId="0" borderId="0" xfId="20" applyFont="1" applyBorder="1" applyAlignment="1">
      <alignment horizontal="center" vertical="top" wrapText="1"/>
      <protection/>
    </xf>
    <xf numFmtId="166" fontId="2" fillId="0" borderId="9" xfId="20" applyNumberFormat="1" applyFont="1" applyBorder="1" applyAlignment="1">
      <alignment horizontal="left" vertical="center"/>
      <protection/>
    </xf>
    <xf numFmtId="166" fontId="2" fillId="0" borderId="9" xfId="20" applyNumberFormat="1" applyFont="1" applyBorder="1">
      <alignment vertical="center"/>
      <protection/>
    </xf>
    <xf numFmtId="166" fontId="1" fillId="3" borderId="0" xfId="20" applyNumberFormat="1" applyFont="1" applyFill="1" applyBorder="1" applyAlignment="1">
      <alignment horizontal="left" vertical="center"/>
      <protection/>
    </xf>
    <xf numFmtId="166" fontId="1" fillId="3" borderId="0" xfId="20" applyNumberFormat="1" applyFont="1" applyFill="1" applyBorder="1">
      <alignment vertical="center"/>
      <protection/>
    </xf>
    <xf numFmtId="166" fontId="1" fillId="0" borderId="5" xfId="20" applyNumberFormat="1" applyFont="1" applyBorder="1" applyAlignment="1">
      <alignment horizontal="left" vertical="center"/>
      <protection/>
    </xf>
    <xf numFmtId="166" fontId="1" fillId="0" borderId="10" xfId="20" applyNumberFormat="1" applyFont="1" applyBorder="1">
      <alignment vertical="center"/>
      <protection/>
    </xf>
    <xf numFmtId="166" fontId="1" fillId="0" borderId="9" xfId="20" applyNumberFormat="1" applyFont="1" applyBorder="1" applyAlignment="1">
      <alignment horizontal="left" vertical="center"/>
      <protection/>
    </xf>
    <xf numFmtId="166" fontId="1" fillId="0" borderId="9" xfId="20" applyNumberFormat="1" applyFont="1" applyBorder="1">
      <alignment vertical="center"/>
      <protection/>
    </xf>
    <xf numFmtId="166" fontId="1" fillId="0" borderId="11" xfId="20" applyNumberFormat="1" applyFont="1" applyBorder="1" applyAlignment="1">
      <alignment horizontal="left" vertical="center" wrapText="1"/>
      <protection/>
    </xf>
    <xf numFmtId="166" fontId="1" fillId="4" borderId="11" xfId="20" applyNumberFormat="1" applyFont="1" applyFill="1" applyBorder="1" applyAlignment="1">
      <alignment horizontal="left" vertical="center"/>
      <protection/>
    </xf>
    <xf numFmtId="166" fontId="1" fillId="4" borderId="5" xfId="20" applyNumberFormat="1" applyFont="1" applyFill="1" applyBorder="1">
      <alignment vertical="center"/>
      <protection/>
    </xf>
    <xf numFmtId="166" fontId="3" fillId="3" borderId="9" xfId="20" applyNumberFormat="1" applyFont="1" applyFill="1" applyBorder="1" applyAlignment="1">
      <alignment horizontal="left" vertical="center"/>
      <protection/>
    </xf>
    <xf numFmtId="166" fontId="3" fillId="3" borderId="9" xfId="20" applyNumberFormat="1" applyFont="1" applyFill="1" applyBorder="1">
      <alignment vertical="center"/>
      <protection/>
    </xf>
    <xf numFmtId="168" fontId="2" fillId="0" borderId="0" xfId="20" applyNumberFormat="1" applyFont="1" applyAlignment="1">
      <alignment/>
      <protection/>
    </xf>
    <xf numFmtId="164" fontId="3" fillId="0" borderId="0" xfId="20" applyFont="1" applyAlignment="1">
      <alignment vertical="top"/>
      <protection/>
    </xf>
    <xf numFmtId="164" fontId="3" fillId="0" borderId="0" xfId="20" applyFont="1" applyAlignment="1">
      <alignment/>
      <protection/>
    </xf>
    <xf numFmtId="164" fontId="3" fillId="0" borderId="12" xfId="20" applyFont="1" applyBorder="1" applyAlignment="1">
      <alignment horizontal="left"/>
      <protection/>
    </xf>
    <xf numFmtId="164" fontId="3" fillId="5" borderId="13" xfId="20" applyFont="1" applyFill="1" applyBorder="1" applyAlignment="1">
      <alignment horizontal="right"/>
      <protection/>
    </xf>
    <xf numFmtId="164" fontId="3" fillId="5" borderId="0" xfId="20" applyFont="1" applyFill="1" applyBorder="1" applyAlignment="1">
      <alignment/>
      <protection/>
    </xf>
    <xf numFmtId="166" fontId="3" fillId="0" borderId="14" xfId="20" applyNumberFormat="1" applyFont="1" applyBorder="1" applyAlignment="1">
      <alignment/>
      <protection/>
    </xf>
    <xf numFmtId="166" fontId="3" fillId="5" borderId="14" xfId="20" applyNumberFormat="1" applyFont="1" applyFill="1" applyBorder="1" applyAlignment="1">
      <alignment/>
      <protection/>
    </xf>
    <xf numFmtId="164" fontId="3" fillId="5" borderId="13" xfId="20" applyFont="1" applyFill="1" applyBorder="1" applyAlignment="1">
      <alignment/>
      <protection/>
    </xf>
    <xf numFmtId="164" fontId="3" fillId="5" borderId="14" xfId="20" applyFont="1" applyFill="1" applyBorder="1" applyAlignment="1">
      <alignment/>
      <protection/>
    </xf>
    <xf numFmtId="164" fontId="3" fillId="0" borderId="12" xfId="20" applyFont="1" applyBorder="1" applyAlignment="1">
      <alignment horizontal="right"/>
      <protection/>
    </xf>
    <xf numFmtId="164" fontId="3" fillId="0" borderId="15" xfId="20" applyFont="1" applyBorder="1" applyAlignment="1">
      <alignment horizontal="right"/>
      <protection/>
    </xf>
    <xf numFmtId="164" fontId="10" fillId="0" borderId="0" xfId="20" applyFont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22">
      <selection activeCell="C3" sqref="C3"/>
    </sheetView>
  </sheetViews>
  <sheetFormatPr defaultColWidth="13.7109375" defaultRowHeight="15" customHeight="1"/>
  <cols>
    <col min="1" max="1" width="28.57421875" style="1" customWidth="1"/>
    <col min="2" max="2" width="25.140625" style="1" customWidth="1"/>
    <col min="3" max="3" width="17.57421875" style="1" customWidth="1"/>
    <col min="4" max="4" width="18.28125" style="1" customWidth="1"/>
    <col min="5" max="6" width="22.57421875" style="1" customWidth="1"/>
    <col min="7" max="7" width="2.8515625" style="1" customWidth="1"/>
    <col min="8" max="8" width="3.00390625" style="1" customWidth="1"/>
    <col min="9" max="9" width="3.421875" style="1" customWidth="1"/>
    <col min="10" max="10" width="4.00390625" style="1" customWidth="1"/>
    <col min="11" max="16" width="9.140625" style="1" customWidth="1"/>
    <col min="17" max="16384" width="14.140625" style="1" customWidth="1"/>
  </cols>
  <sheetData>
    <row r="1" spans="1:16" ht="12.75" customHeight="1">
      <c r="A1" s="2" t="s">
        <v>0</v>
      </c>
      <c r="B1" s="3">
        <v>35000</v>
      </c>
      <c r="C1" s="4"/>
      <c r="D1" s="5" t="s">
        <v>1</v>
      </c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6" t="s">
        <v>2</v>
      </c>
      <c r="B2" s="3">
        <v>1070342.13</v>
      </c>
      <c r="C2" s="4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7"/>
      <c r="B3" s="8"/>
      <c r="C3" s="4"/>
      <c r="D3" s="4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0" t="s">
        <v>3</v>
      </c>
      <c r="B4" s="4"/>
      <c r="C4" s="4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11" t="s">
        <v>4</v>
      </c>
      <c r="B5" s="11"/>
      <c r="C5" s="11"/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12" t="s">
        <v>5</v>
      </c>
      <c r="B6" s="13"/>
      <c r="C6" s="13" t="s">
        <v>6</v>
      </c>
      <c r="D6" s="13" t="s">
        <v>7</v>
      </c>
      <c r="E6" s="13" t="s">
        <v>8</v>
      </c>
      <c r="F6" s="13" t="s">
        <v>9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14">
        <v>0</v>
      </c>
      <c r="B7" s="15" t="s">
        <v>10</v>
      </c>
      <c r="C7" s="16">
        <v>12</v>
      </c>
      <c r="D7" s="16">
        <v>14</v>
      </c>
      <c r="E7" s="17">
        <f>IF($B$1&lt;A8,$B$1*C7/100,$A$8*C7/100)</f>
        <v>1947.2495999999999</v>
      </c>
      <c r="F7" s="17">
        <f>IF(B1&lt;A8,B1*D7/100,A8*D7/100)</f>
        <v>2271.7912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18">
        <v>16227.08</v>
      </c>
      <c r="B8" s="15" t="s">
        <v>11</v>
      </c>
      <c r="C8" s="16">
        <v>10</v>
      </c>
      <c r="D8" s="16">
        <v>12</v>
      </c>
      <c r="E8" s="17">
        <f aca="true" t="shared" si="0" ref="E8:E14">IF($B$1&lt;A9,(IF(($B$1-A8)&lt;0,0,($B$1-A8)*C8/100)),(A9-A8)*C8/100)</f>
        <v>811.3539999999999</v>
      </c>
      <c r="F8" s="17">
        <f aca="true" t="shared" si="1" ref="F8:F13">IF($B$1&lt;A9,(IF(($B$1-A8)&lt;0,0,($B$1-A8)*D8/100)),(A9-A8)*D8/100)</f>
        <v>973.6247999999998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18">
        <v>24340.62</v>
      </c>
      <c r="B9" s="15" t="s">
        <v>12</v>
      </c>
      <c r="C9" s="16">
        <v>8.5</v>
      </c>
      <c r="D9" s="16">
        <v>9.5</v>
      </c>
      <c r="E9" s="17">
        <f t="shared" si="0"/>
        <v>906.0473000000001</v>
      </c>
      <c r="F9" s="17">
        <f t="shared" si="1"/>
        <v>1012.6411000000002</v>
      </c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18">
        <v>40567.68</v>
      </c>
      <c r="B10" s="15" t="s">
        <v>13</v>
      </c>
      <c r="C10" s="16">
        <v>7</v>
      </c>
      <c r="D10" s="16">
        <v>8</v>
      </c>
      <c r="E10" s="17">
        <f t="shared" si="0"/>
        <v>0</v>
      </c>
      <c r="F10" s="17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4">
        <f>81135.38</f>
        <v>81135.38</v>
      </c>
      <c r="B11" s="15" t="s">
        <v>14</v>
      </c>
      <c r="C11" s="16">
        <v>5.5</v>
      </c>
      <c r="D11" s="16">
        <v>6.5</v>
      </c>
      <c r="E11" s="17">
        <f t="shared" si="0"/>
        <v>0</v>
      </c>
      <c r="F11" s="17">
        <f t="shared" si="1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18">
        <v>405676.89</v>
      </c>
      <c r="B12" s="15" t="s">
        <v>15</v>
      </c>
      <c r="C12" s="16">
        <v>4</v>
      </c>
      <c r="D12" s="16">
        <v>5</v>
      </c>
      <c r="E12" s="17">
        <f t="shared" si="0"/>
        <v>0</v>
      </c>
      <c r="F12" s="17">
        <f t="shared" si="1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.75">
      <c r="A13" s="18">
        <v>811353.79</v>
      </c>
      <c r="B13" s="15" t="s">
        <v>16</v>
      </c>
      <c r="C13" s="16">
        <v>0.9</v>
      </c>
      <c r="D13" s="16">
        <v>1.8</v>
      </c>
      <c r="E13" s="17">
        <f t="shared" si="0"/>
        <v>0</v>
      </c>
      <c r="F13" s="17">
        <f t="shared" si="1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18">
        <v>2434061.67</v>
      </c>
      <c r="B14" s="15"/>
      <c r="C14" s="16">
        <v>0.45</v>
      </c>
      <c r="D14" s="16">
        <v>0.9</v>
      </c>
      <c r="E14" s="17">
        <f t="shared" si="0"/>
        <v>0</v>
      </c>
      <c r="F14" s="17">
        <f>IF(($B$1-A14)&lt;0,0,($B$1-A14)*D14/100)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19" t="s">
        <v>17</v>
      </c>
      <c r="B15" s="20"/>
      <c r="C15" s="20"/>
      <c r="D15" s="21"/>
      <c r="E15" s="22">
        <f aca="true" t="shared" si="2" ref="E15:F15">SUMIF(E7:E14,"&gt;0")</f>
        <v>3664.6508999999996</v>
      </c>
      <c r="F15" s="22">
        <f t="shared" si="2"/>
        <v>4258.0571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11" t="s">
        <v>18</v>
      </c>
      <c r="B17" s="11"/>
      <c r="C17" s="11"/>
      <c r="D17" s="11"/>
      <c r="E17" s="11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23" t="s">
        <v>19</v>
      </c>
      <c r="B18" s="24"/>
      <c r="C18" s="25">
        <v>0.19</v>
      </c>
      <c r="D18" s="25">
        <v>0.94</v>
      </c>
      <c r="E18" s="26">
        <f>IF(B2&lt;81131.38,B2*C18/100,81131.38*C18/100)</f>
        <v>154.14962200000002</v>
      </c>
      <c r="F18" s="26">
        <f>IF(B2&lt;81131.38,B2*D18/100,81131.38*D18/100)</f>
        <v>762.6349720000002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23" t="s">
        <v>20</v>
      </c>
      <c r="B19" s="24"/>
      <c r="C19" s="25">
        <v>0.06</v>
      </c>
      <c r="D19" s="25">
        <v>0.46</v>
      </c>
      <c r="E19" s="26">
        <f>IF($B$2&lt;81131.38,0,(B2-81131.38)*C19/100)</f>
        <v>593.5264499999998</v>
      </c>
      <c r="F19" s="26">
        <f>IF($B$2&lt;81131.38,0,($B$2-81131.38)*D19/100)</f>
        <v>4550.369449999999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27" t="s">
        <v>21</v>
      </c>
      <c r="B20" s="27"/>
      <c r="C20" s="27"/>
      <c r="D20" s="28"/>
      <c r="E20" s="22">
        <f aca="true" t="shared" si="3" ref="E20:F20">(ROUND((SUMIF(E18:E19,"&gt;0")),2))</f>
        <v>747.68</v>
      </c>
      <c r="F20" s="22">
        <f t="shared" si="3"/>
        <v>5313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customHeight="1">
      <c r="A21" s="4"/>
      <c r="B21" s="4"/>
      <c r="C21" s="4"/>
      <c r="D21" s="4"/>
      <c r="E21" s="29"/>
      <c r="F21" s="2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customHeight="1">
      <c r="A22" s="30" t="s">
        <v>22</v>
      </c>
      <c r="B22" s="9"/>
      <c r="C22" s="31" t="s">
        <v>23</v>
      </c>
      <c r="D22" s="32"/>
      <c r="E22" s="26">
        <f aca="true" t="shared" si="4" ref="E22:F22">E15</f>
        <v>3664.6508999999996</v>
      </c>
      <c r="F22" s="26">
        <f t="shared" si="4"/>
        <v>4258.0571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customHeight="1">
      <c r="A23" s="9"/>
      <c r="B23" s="9"/>
      <c r="C23" s="31" t="s">
        <v>24</v>
      </c>
      <c r="D23" s="32"/>
      <c r="E23" s="17">
        <f aca="true" t="shared" si="5" ref="E23:F23">E20</f>
        <v>747.68</v>
      </c>
      <c r="F23" s="17">
        <f t="shared" si="5"/>
        <v>5313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customHeight="1">
      <c r="A24" s="9"/>
      <c r="B24" s="9"/>
      <c r="C24" s="31" t="s">
        <v>25</v>
      </c>
      <c r="D24" s="32"/>
      <c r="E24" s="33">
        <f aca="true" t="shared" si="6" ref="E24:F24">SUM(E22:E23)</f>
        <v>4412.3309</v>
      </c>
      <c r="F24" s="33">
        <f t="shared" si="6"/>
        <v>9571.0571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customHeight="1">
      <c r="A25" s="4"/>
      <c r="B25" s="9"/>
      <c r="C25" s="9"/>
      <c r="D25" s="31"/>
      <c r="E25" s="31"/>
      <c r="F25" s="34"/>
      <c r="G25" s="35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customHeight="1">
      <c r="A26" s="36" t="s">
        <v>26</v>
      </c>
      <c r="B26" s="4"/>
      <c r="C26" s="9"/>
      <c r="D26" s="37"/>
      <c r="E26" s="37"/>
      <c r="F26" s="38"/>
      <c r="G26" s="39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customHeight="1">
      <c r="A27" s="40" t="s">
        <v>27</v>
      </c>
      <c r="B27" s="40"/>
      <c r="C27" s="4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customHeight="1">
      <c r="A28" s="42" t="s">
        <v>28</v>
      </c>
      <c r="B28" s="42"/>
      <c r="C28" s="43">
        <f aca="true" t="shared" si="7" ref="C28:C29">E22</f>
        <v>3664.6508999999996</v>
      </c>
      <c r="D28" s="4"/>
      <c r="E28" s="44" t="s">
        <v>29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customHeight="1">
      <c r="A29" s="45" t="s">
        <v>30</v>
      </c>
      <c r="B29" s="45"/>
      <c r="C29" s="46">
        <f t="shared" si="7"/>
        <v>747.68</v>
      </c>
      <c r="D29" s="4"/>
      <c r="E29" s="47" t="s">
        <v>31</v>
      </c>
      <c r="F29" s="47"/>
      <c r="G29" s="47"/>
      <c r="H29" s="47"/>
      <c r="I29" s="47"/>
      <c r="J29" s="47"/>
      <c r="K29" s="4"/>
      <c r="L29" s="4"/>
      <c r="M29" s="4"/>
      <c r="N29" s="4"/>
      <c r="O29" s="4"/>
      <c r="P29" s="4"/>
    </row>
    <row r="30" spans="1:16" ht="15.75" customHeight="1">
      <c r="A30" s="48" t="s">
        <v>32</v>
      </c>
      <c r="B30" s="48"/>
      <c r="C30" s="49">
        <f>+C28+C29</f>
        <v>4412.3309</v>
      </c>
      <c r="D30" s="4"/>
      <c r="E30" s="47"/>
      <c r="F30" s="47"/>
      <c r="G30" s="47"/>
      <c r="H30" s="47"/>
      <c r="I30" s="47"/>
      <c r="J30" s="47"/>
      <c r="K30" s="4"/>
      <c r="L30" s="4"/>
      <c r="M30" s="4"/>
      <c r="N30" s="4"/>
      <c r="O30" s="4"/>
      <c r="P30" s="4"/>
    </row>
    <row r="31" spans="1:16" ht="15.75" customHeight="1">
      <c r="A31" s="50" t="s">
        <v>33</v>
      </c>
      <c r="B31" s="50"/>
      <c r="C31" s="51"/>
      <c r="D31" s="4"/>
      <c r="E31" s="47"/>
      <c r="F31" s="47"/>
      <c r="G31" s="47"/>
      <c r="H31" s="47"/>
      <c r="I31" s="47"/>
      <c r="J31" s="47"/>
      <c r="K31" s="4"/>
      <c r="L31" s="4"/>
      <c r="M31" s="4"/>
      <c r="N31" s="4"/>
      <c r="O31" s="4"/>
      <c r="P31" s="4"/>
    </row>
    <row r="32" spans="1:16" ht="15.75" customHeight="1">
      <c r="A32" s="52" t="s">
        <v>34</v>
      </c>
      <c r="B32" s="52"/>
      <c r="C32" s="53">
        <f>+C30*0.4</f>
        <v>1764.93236</v>
      </c>
      <c r="D32" s="4"/>
      <c r="E32" s="47"/>
      <c r="F32" s="47"/>
      <c r="G32" s="47"/>
      <c r="H32" s="47"/>
      <c r="I32" s="47"/>
      <c r="J32" s="47"/>
      <c r="K32" s="4"/>
      <c r="L32" s="4"/>
      <c r="M32" s="4"/>
      <c r="N32" s="4"/>
      <c r="O32" s="4"/>
      <c r="P32" s="4"/>
    </row>
    <row r="33" spans="1:16" ht="15.75" customHeight="1">
      <c r="A33" s="54" t="s">
        <v>35</v>
      </c>
      <c r="B33" s="54"/>
      <c r="C33" s="55">
        <f>+C30-C32</f>
        <v>2647.39854</v>
      </c>
      <c r="D33" s="4"/>
      <c r="E33" s="47"/>
      <c r="F33" s="47"/>
      <c r="G33" s="47"/>
      <c r="H33" s="47"/>
      <c r="I33" s="47"/>
      <c r="J33" s="47"/>
      <c r="K33" s="4"/>
      <c r="L33" s="4"/>
      <c r="M33" s="4"/>
      <c r="N33" s="4"/>
      <c r="O33" s="4"/>
      <c r="P33" s="4"/>
    </row>
    <row r="34" spans="1:16" ht="15.75" customHeight="1">
      <c r="A34" s="50" t="s">
        <v>36</v>
      </c>
      <c r="B34" s="50"/>
      <c r="C34" s="51"/>
      <c r="D34" s="4"/>
      <c r="E34" s="47"/>
      <c r="F34" s="47"/>
      <c r="G34" s="47"/>
      <c r="H34" s="47"/>
      <c r="I34" s="47"/>
      <c r="J34" s="47"/>
      <c r="K34" s="4"/>
      <c r="L34" s="4"/>
      <c r="M34" s="4"/>
      <c r="N34" s="4"/>
      <c r="O34" s="4"/>
      <c r="P34" s="4"/>
    </row>
    <row r="35" spans="1:16" ht="15.75" customHeight="1">
      <c r="A35" s="52" t="s">
        <v>37</v>
      </c>
      <c r="B35" s="52"/>
      <c r="C35" s="53">
        <f>+C33*0.1</f>
        <v>264.73985400000004</v>
      </c>
      <c r="D35" s="4"/>
      <c r="E35" s="44" t="s">
        <v>29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customHeight="1">
      <c r="A36" s="54" t="s">
        <v>38</v>
      </c>
      <c r="B36" s="54"/>
      <c r="C36" s="55">
        <f>C33+C35</f>
        <v>2912.138394</v>
      </c>
      <c r="D36" s="4"/>
      <c r="E36" s="47" t="s">
        <v>39</v>
      </c>
      <c r="F36" s="47"/>
      <c r="G36" s="47"/>
      <c r="H36" s="47"/>
      <c r="I36" s="47"/>
      <c r="J36" s="47"/>
      <c r="K36" s="4"/>
      <c r="L36" s="4"/>
      <c r="M36" s="4"/>
      <c r="N36" s="4"/>
      <c r="O36" s="4"/>
      <c r="P36" s="4"/>
    </row>
    <row r="37" spans="1:16" ht="31.5" customHeight="1">
      <c r="A37" s="56" t="s">
        <v>40</v>
      </c>
      <c r="B37" s="56"/>
      <c r="C37" s="53">
        <f>+C36/96.92307*3.07693</f>
        <v>92.44905251815095</v>
      </c>
      <c r="D37" s="4"/>
      <c r="E37" s="47"/>
      <c r="F37" s="47"/>
      <c r="G37" s="47"/>
      <c r="H37" s="47"/>
      <c r="I37" s="47"/>
      <c r="J37" s="47"/>
      <c r="K37" s="4"/>
      <c r="L37" s="4"/>
      <c r="M37" s="4"/>
      <c r="N37" s="4"/>
      <c r="O37" s="4"/>
      <c r="P37" s="4"/>
    </row>
    <row r="38" spans="1:16" ht="15.75" customHeight="1">
      <c r="A38" s="54" t="s">
        <v>41</v>
      </c>
      <c r="B38" s="54"/>
      <c r="C38" s="55">
        <f>+C36+C37</f>
        <v>3004.587446518151</v>
      </c>
      <c r="D38" s="4"/>
      <c r="E38" s="47"/>
      <c r="F38" s="47"/>
      <c r="G38" s="47"/>
      <c r="H38" s="47"/>
      <c r="I38" s="47"/>
      <c r="J38" s="47"/>
      <c r="K38" s="4"/>
      <c r="L38" s="4"/>
      <c r="M38" s="4"/>
      <c r="N38" s="4"/>
      <c r="O38" s="4"/>
      <c r="P38" s="4"/>
    </row>
    <row r="39" spans="1:16" ht="24.75" customHeight="1">
      <c r="A39" s="57" t="s">
        <v>42</v>
      </c>
      <c r="B39" s="57"/>
      <c r="C39" s="58">
        <f>C38*0.22</f>
        <v>661.0092382339932</v>
      </c>
      <c r="D39" s="4"/>
      <c r="E39" s="47"/>
      <c r="F39" s="47"/>
      <c r="G39" s="47"/>
      <c r="H39" s="47"/>
      <c r="I39" s="47"/>
      <c r="J39" s="47"/>
      <c r="K39" s="4"/>
      <c r="L39" s="4"/>
      <c r="M39" s="4"/>
      <c r="N39" s="4"/>
      <c r="O39" s="4"/>
      <c r="P39" s="4"/>
    </row>
    <row r="40" spans="1:16" ht="15.75" customHeight="1">
      <c r="A40" s="59" t="s">
        <v>43</v>
      </c>
      <c r="B40" s="59"/>
      <c r="C40" s="60">
        <f>+C38+C39</f>
        <v>3665.596684752144</v>
      </c>
      <c r="D40" s="4"/>
      <c r="E40" s="47"/>
      <c r="F40" s="47"/>
      <c r="G40" s="47"/>
      <c r="H40" s="47"/>
      <c r="I40" s="47"/>
      <c r="J40" s="47"/>
      <c r="K40" s="4"/>
      <c r="L40" s="4"/>
      <c r="M40" s="4"/>
      <c r="N40" s="4"/>
      <c r="O40" s="4"/>
      <c r="P40" s="4"/>
    </row>
    <row r="41" spans="1:16" ht="15.75" customHeight="1">
      <c r="A41" s="4"/>
      <c r="B41" s="4"/>
      <c r="C41" s="61"/>
      <c r="D41" s="4"/>
      <c r="E41" s="47"/>
      <c r="F41" s="47"/>
      <c r="G41" s="47"/>
      <c r="H41" s="47"/>
      <c r="I41" s="47"/>
      <c r="J41" s="47"/>
      <c r="K41" s="4"/>
      <c r="L41" s="4"/>
      <c r="M41" s="4"/>
      <c r="N41" s="4"/>
      <c r="O41" s="4"/>
      <c r="P41" s="4"/>
    </row>
    <row r="42" spans="1:16" ht="15.75" customHeight="1">
      <c r="A42" s="4"/>
      <c r="B42" s="4"/>
      <c r="C42" s="61"/>
      <c r="D42" s="4"/>
      <c r="E42" s="47"/>
      <c r="F42" s="47"/>
      <c r="G42" s="47"/>
      <c r="H42" s="47"/>
      <c r="I42" s="47"/>
      <c r="J42" s="47"/>
      <c r="K42" s="4"/>
      <c r="L42" s="4"/>
      <c r="M42" s="4"/>
      <c r="N42" s="4"/>
      <c r="O42" s="4"/>
      <c r="P42" s="4"/>
    </row>
    <row r="43" spans="1:16" ht="15.75" customHeight="1">
      <c r="A43" s="4"/>
      <c r="B43" s="61"/>
      <c r="C43" s="4"/>
      <c r="D43" s="4"/>
      <c r="E43" s="47"/>
      <c r="F43" s="47"/>
      <c r="G43" s="47"/>
      <c r="H43" s="47"/>
      <c r="I43" s="47"/>
      <c r="J43" s="47"/>
      <c r="K43" s="4"/>
      <c r="L43" s="4"/>
      <c r="M43" s="4"/>
      <c r="N43" s="4"/>
      <c r="O43" s="4"/>
      <c r="P43" s="4"/>
    </row>
    <row r="44" spans="1:16" ht="15.75" customHeight="1">
      <c r="A44" s="10" t="s">
        <v>44</v>
      </c>
      <c r="B44" s="61"/>
      <c r="C44" s="4"/>
      <c r="D44" s="4"/>
      <c r="E44" s="47"/>
      <c r="F44" s="47"/>
      <c r="G44" s="47"/>
      <c r="H44" s="47"/>
      <c r="I44" s="47"/>
      <c r="J44" s="47"/>
      <c r="K44" s="62"/>
      <c r="L44" s="4"/>
      <c r="M44" s="4"/>
      <c r="N44" s="4"/>
      <c r="O44" s="62"/>
      <c r="P44" s="62"/>
    </row>
    <row r="45" spans="1:16" ht="15.75" customHeight="1">
      <c r="A45" s="63"/>
      <c r="B45" s="64" t="s">
        <v>45</v>
      </c>
      <c r="C45" s="65" t="s">
        <v>46</v>
      </c>
      <c r="D45" s="66"/>
      <c r="E45" s="47"/>
      <c r="F45" s="47"/>
      <c r="G45" s="47"/>
      <c r="H45" s="47"/>
      <c r="I45" s="47"/>
      <c r="J45" s="47"/>
      <c r="K45" s="4"/>
      <c r="L45" s="4"/>
      <c r="M45" s="4"/>
      <c r="N45" s="4"/>
      <c r="O45" s="4"/>
      <c r="P45" s="4"/>
    </row>
    <row r="46" spans="1:16" ht="15.75" customHeight="1">
      <c r="A46" s="63"/>
      <c r="B46" s="67">
        <f>C38/100*20</f>
        <v>600.9174893036302</v>
      </c>
      <c r="C46" s="68">
        <f>C48-C47</f>
        <v>2311.22090469637</v>
      </c>
      <c r="D46" s="66"/>
      <c r="E46" s="4"/>
      <c r="F46" s="63"/>
      <c r="G46" s="63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63"/>
      <c r="B47" s="67"/>
      <c r="C47" s="68">
        <f>C37</f>
        <v>92.44905251815095</v>
      </c>
      <c r="D47" s="69" t="s">
        <v>47</v>
      </c>
      <c r="E47" s="4"/>
      <c r="F47" s="63"/>
      <c r="G47" s="63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customHeight="1">
      <c r="A48" s="63"/>
      <c r="B48" s="67"/>
      <c r="C48" s="68">
        <f>C38/100*80</f>
        <v>2403.6699572145208</v>
      </c>
      <c r="D48" s="70" t="s">
        <v>48</v>
      </c>
      <c r="E48" s="4"/>
      <c r="F48" s="63"/>
      <c r="G48" s="63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71" t="s">
        <v>49</v>
      </c>
      <c r="B49" s="67">
        <f>C39-C49</f>
        <v>132.20184764679857</v>
      </c>
      <c r="C49" s="68">
        <f>C48*0.22</f>
        <v>528.8073905871946</v>
      </c>
      <c r="D49" s="70" t="s">
        <v>50</v>
      </c>
      <c r="E49" s="4"/>
      <c r="F49" s="63"/>
      <c r="G49" s="63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72" t="s">
        <v>51</v>
      </c>
      <c r="B50" s="67">
        <f>B46+B49</f>
        <v>733.1193369504288</v>
      </c>
      <c r="C50" s="68">
        <f>C48+C49</f>
        <v>2932.4773478017155</v>
      </c>
      <c r="D50" s="70" t="s">
        <v>52</v>
      </c>
      <c r="E50" s="4"/>
      <c r="F50" s="63"/>
      <c r="G50" s="63"/>
      <c r="H50" s="4"/>
      <c r="I50" s="4"/>
      <c r="J50" s="4"/>
      <c r="K50" s="4"/>
      <c r="L50" s="4"/>
      <c r="M50" s="4"/>
      <c r="N50" s="4"/>
      <c r="O50" s="4"/>
      <c r="P50" s="4"/>
    </row>
    <row r="51" spans="1:16" ht="45.75" customHeight="1">
      <c r="A51" s="63"/>
      <c r="B51" s="63"/>
      <c r="C51" s="63"/>
      <c r="D51" s="63"/>
      <c r="E51" s="4"/>
      <c r="F51" s="63"/>
      <c r="G51" s="63"/>
      <c r="H51" s="4"/>
      <c r="I51" s="4"/>
      <c r="J51" s="4"/>
      <c r="K51" s="4"/>
      <c r="L51" s="4"/>
      <c r="M51" s="4"/>
      <c r="N51" s="4"/>
      <c r="O51" s="4"/>
      <c r="P51" s="4"/>
    </row>
    <row r="52" spans="1:16" ht="34.5" customHeight="1">
      <c r="A52" s="4"/>
      <c r="B52" s="4"/>
      <c r="C52" s="6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7.75" customHeight="1">
      <c r="A53" s="4"/>
      <c r="B53" s="4"/>
      <c r="C53" s="6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62"/>
      <c r="L55" s="62"/>
      <c r="M55" s="62"/>
      <c r="N55" s="4"/>
      <c r="O55" s="4"/>
      <c r="P55" s="4"/>
    </row>
    <row r="56" spans="1:1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73"/>
      <c r="L57" s="73"/>
      <c r="M57" s="73"/>
      <c r="N57" s="4"/>
      <c r="O57" s="4"/>
      <c r="P57" s="4"/>
    </row>
    <row r="58" spans="1:16" ht="5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73"/>
      <c r="L58" s="73"/>
      <c r="M58" s="73"/>
      <c r="N58" s="4"/>
      <c r="O58" s="4"/>
      <c r="P58" s="4"/>
    </row>
    <row r="59" spans="1:1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</sheetData>
  <sheetProtection selectLockedCells="1" selectUnlockedCells="1"/>
  <mergeCells count="8">
    <mergeCell ref="D1:F2"/>
    <mergeCell ref="A27:B27"/>
    <mergeCell ref="E29:J34"/>
    <mergeCell ref="A32:B32"/>
    <mergeCell ref="A35:B35"/>
    <mergeCell ref="E36:J45"/>
    <mergeCell ref="A37:B37"/>
    <mergeCell ref="A39:B3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